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DB3A48DB-2CD2-43AB-8258-FF2BFBAE62E7}" xr6:coauthVersionLast="36" xr6:coauthVersionMax="36" xr10:uidLastSave="{00000000-0000-0000-0000-000000000000}"/>
  <bookViews>
    <workbookView xWindow="0" yWindow="0" windowWidth="22260" windowHeight="12645" tabRatio="707" xr2:uid="{00000000-000D-0000-FFFF-FFFF00000000}"/>
  </bookViews>
  <sheets>
    <sheet name="Master" sheetId="1" r:id="rId1"/>
    <sheet name="Alt1 Cheap" sheetId="2" r:id="rId2"/>
    <sheet name="Alt2 Traffic Circles" sheetId="9" r:id="rId3"/>
    <sheet name="Alt3 Lighting" sheetId="3" r:id="rId4"/>
    <sheet name="Alt4 Trees" sheetId="8" r:id="rId5"/>
    <sheet name="Alt5 Permeable Asphalt" sheetId="4" r:id="rId6"/>
    <sheet name="Alt6 White Asphalt" sheetId="7" r:id="rId7"/>
    <sheet name="Alt7 Woonerf" sheetId="6" r:id="rId8"/>
    <sheet name="Woonerf Crash Analysis" sheetId="10" r:id="rId9"/>
    <sheet name="Crime Analysis" sheetId="11" r:id="rId10"/>
    <sheet name="Crash Stats" sheetId="1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6" l="1"/>
  <c r="I5" i="6"/>
  <c r="I6" i="6"/>
  <c r="I17" i="6" s="1"/>
  <c r="I7" i="6"/>
  <c r="I8" i="6"/>
  <c r="I9" i="6"/>
  <c r="I10" i="6"/>
  <c r="I12" i="6"/>
  <c r="I13" i="6"/>
  <c r="I15" i="6"/>
  <c r="I16" i="6"/>
  <c r="E17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3" i="6"/>
  <c r="I5" i="7"/>
  <c r="I4" i="7"/>
  <c r="E5" i="7"/>
  <c r="E4" i="7"/>
  <c r="E3" i="7"/>
  <c r="I6" i="3"/>
  <c r="E8" i="12"/>
  <c r="E7" i="12"/>
  <c r="E6" i="12"/>
  <c r="E5" i="12"/>
  <c r="E4" i="12"/>
  <c r="E3" i="12"/>
  <c r="E2" i="12"/>
  <c r="E4" i="11" l="1"/>
  <c r="E3" i="11"/>
  <c r="E5" i="11" s="1"/>
  <c r="G5" i="11" s="1"/>
  <c r="E2" i="11"/>
  <c r="E1" i="11"/>
  <c r="J9" i="10" l="1"/>
  <c r="L9" i="10" s="1"/>
  <c r="I9" i="10"/>
  <c r="H9" i="10"/>
  <c r="F9" i="10"/>
  <c r="H8" i="10"/>
  <c r="I8" i="10" s="1"/>
  <c r="J8" i="10" s="1"/>
  <c r="L8" i="10" s="1"/>
  <c r="F8" i="10"/>
  <c r="F7" i="10"/>
  <c r="H6" i="10"/>
  <c r="I6" i="10" s="1"/>
  <c r="J6" i="10" s="1"/>
  <c r="L6" i="10" s="1"/>
  <c r="F6" i="10"/>
  <c r="H5" i="10"/>
  <c r="I5" i="10" s="1"/>
  <c r="J5" i="10" s="1"/>
  <c r="L5" i="10" s="1"/>
  <c r="F5" i="10"/>
  <c r="H4" i="10"/>
  <c r="I4" i="10" s="1"/>
  <c r="J4" i="10" s="1"/>
  <c r="L4" i="10" s="1"/>
  <c r="F4" i="10"/>
  <c r="F3" i="10"/>
  <c r="F2" i="10"/>
  <c r="I3" i="10" l="1"/>
  <c r="J3" i="10" s="1"/>
  <c r="L3" i="10" s="1"/>
  <c r="H3" i="10"/>
  <c r="H2" i="10"/>
  <c r="I2" i="10" s="1"/>
  <c r="J2" i="10" s="1"/>
  <c r="L2" i="10" s="1"/>
  <c r="H7" i="10"/>
  <c r="I7" i="10" s="1"/>
  <c r="J7" i="10" s="1"/>
  <c r="L7" i="10" s="1"/>
  <c r="L10" i="10" l="1"/>
  <c r="I5" i="8" l="1"/>
  <c r="E4" i="8"/>
  <c r="I4" i="8" s="1"/>
  <c r="E4" i="3"/>
  <c r="I4" i="3" s="1"/>
  <c r="I3" i="6"/>
  <c r="I3" i="7"/>
  <c r="I3" i="4"/>
  <c r="E3" i="9" l="1"/>
  <c r="E3" i="8"/>
  <c r="I3" i="8" s="1"/>
  <c r="I6" i="8" s="1"/>
  <c r="E4" i="4"/>
  <c r="F4" i="1"/>
  <c r="F3" i="1"/>
  <c r="F2" i="1"/>
  <c r="E3" i="3"/>
  <c r="E4" i="2"/>
  <c r="I4" i="2" s="1"/>
  <c r="E5" i="2"/>
  <c r="I5" i="2" s="1"/>
  <c r="E6" i="2"/>
  <c r="I6" i="2" s="1"/>
  <c r="E7" i="2"/>
  <c r="I7" i="2" s="1"/>
  <c r="E3" i="2"/>
  <c r="I3" i="2" s="1"/>
  <c r="B4" i="1"/>
  <c r="E6" i="3" l="1"/>
  <c r="I3" i="3"/>
  <c r="E5" i="9"/>
  <c r="I3" i="9"/>
  <c r="I5" i="9" s="1"/>
  <c r="I8" i="2"/>
  <c r="E6" i="8"/>
  <c r="E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3" authorId="0" shapeId="0" xr:uid="{8FDF5DB8-D599-4448-861E-BAF00AB4088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https://safety.fhwa.dot.gov/roadway_dept/horicurves/fhwasa15084/ch3.cfm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3" authorId="0" shapeId="0" xr:uid="{748A5DB5-D044-450E-8B65-138A3C4A1F2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Wichita
https://www.wichita.gov/Planning/PlanningDocument/Appendix%20C%20-%20Planning%20Level%20Cost%20Estimator.pdf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3" authorId="0" shapeId="0" xr:uid="{EF9F01EA-C613-430E-95EE-93989676447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Edmonton
https://www.edmonton.ca/transportation/PDF/StreetlightRenewalFactSheet.pdf</t>
        </r>
      </text>
    </comment>
  </commentList>
</comments>
</file>

<file path=xl/sharedStrings.xml><?xml version="1.0" encoding="utf-8"?>
<sst xmlns="http://schemas.openxmlformats.org/spreadsheetml/2006/main" count="195" uniqueCount="96">
  <si>
    <t>Type</t>
  </si>
  <si>
    <t>Count</t>
  </si>
  <si>
    <t>Copper</t>
  </si>
  <si>
    <t>Intersections</t>
  </si>
  <si>
    <t>Length (feet)</t>
  </si>
  <si>
    <t>ROW Width (feet)</t>
  </si>
  <si>
    <t>Total Length</t>
  </si>
  <si>
    <t>Area (ft^2)</t>
  </si>
  <si>
    <t>Item</t>
  </si>
  <si>
    <t>Unit Cost</t>
  </si>
  <si>
    <t>Total</t>
  </si>
  <si>
    <t>Units</t>
  </si>
  <si>
    <t>Notes</t>
  </si>
  <si>
    <t>Double Yellows</t>
  </si>
  <si>
    <t>Crosswalks</t>
  </si>
  <si>
    <t>Zig-Zag Pavement Markings</t>
  </si>
  <si>
    <t>ROW minus sidewalks (feet)</t>
  </si>
  <si>
    <t>Parking lane</t>
  </si>
  <si>
    <t>Add a few of these on the cut-throughs that don't have treatments (Marquette and Alvardo)</t>
  </si>
  <si>
    <t>Stop bars</t>
  </si>
  <si>
    <t>Total Cost</t>
  </si>
  <si>
    <t>ft</t>
  </si>
  <si>
    <t>4 at each intersection</t>
  </si>
  <si>
    <t>Source</t>
  </si>
  <si>
    <t>ABQ</t>
  </si>
  <si>
    <t>Risa</t>
  </si>
  <si>
    <t>PBI</t>
  </si>
  <si>
    <t>ea</t>
  </si>
  <si>
    <t>assuming each intersection has 2 stop signs, 128 total, each is 15' wide</t>
  </si>
  <si>
    <t>Fayetteville</t>
  </si>
  <si>
    <t>Street Trees</t>
  </si>
  <si>
    <t>Traffic Circles</t>
  </si>
  <si>
    <t>COSTS</t>
  </si>
  <si>
    <t>8' tall deciduous</t>
  </si>
  <si>
    <t>Copper already has double-yellow, so this is for 2 lines on everything else</t>
  </si>
  <si>
    <t>Permeable Asphalt</t>
  </si>
  <si>
    <t>hectare</t>
  </si>
  <si>
    <t>Curb Extension</t>
  </si>
  <si>
    <t>SRTS</t>
  </si>
  <si>
    <t>Designating parking lanes will narrow road, this is for 2 lines on every road, except Copper which already has</t>
  </si>
  <si>
    <t>Local Roads (excluding Copper)</t>
  </si>
  <si>
    <t>78 n/s blocks with 2 on each and 68 e/w blocks with 1 on each</t>
  </si>
  <si>
    <t>Irrigation, maintenance costs</t>
  </si>
  <si>
    <t>Or we can try speed humps, curb extensions, etc.</t>
  </si>
  <si>
    <t>Lifespan (years)</t>
  </si>
  <si>
    <t>Annual Cost ($)</t>
  </si>
  <si>
    <t xml:space="preserve">Inflation rate assumed </t>
  </si>
  <si>
    <t>Light Poles</t>
  </si>
  <si>
    <t>LED Lights</t>
  </si>
  <si>
    <t>Kansas LTAP</t>
  </si>
  <si>
    <t>100 gallons per week each, ABCWUA $1.63 per unit (748 gallons)</t>
  </si>
  <si>
    <t>Street Furniture</t>
  </si>
  <si>
    <t>pavement marking</t>
  </si>
  <si>
    <t>street lighting</t>
  </si>
  <si>
    <t>trees</t>
  </si>
  <si>
    <t>total (before traffic circles)</t>
  </si>
  <si>
    <t>traffic circle</t>
  </si>
  <si>
    <t>total (but need to divide by 8)</t>
  </si>
  <si>
    <t>Total after traffic circles</t>
  </si>
  <si>
    <t>Reduction</t>
  </si>
  <si>
    <t>Cost savings</t>
  </si>
  <si>
    <t>int inj night</t>
  </si>
  <si>
    <t>int inj day</t>
  </si>
  <si>
    <t>int PDO night</t>
  </si>
  <si>
    <t>int PDO day</t>
  </si>
  <si>
    <t>mb inj night</t>
  </si>
  <si>
    <t>mb inj day</t>
  </si>
  <si>
    <t>mb PDO night</t>
  </si>
  <si>
    <t>mb PDO day</t>
  </si>
  <si>
    <t>Assault</t>
  </si>
  <si>
    <t>Theft/Larceny</t>
  </si>
  <si>
    <t>Motor vehicle theft</t>
  </si>
  <si>
    <t>Burglary</t>
  </si>
  <si>
    <t>average</t>
  </si>
  <si>
    <t>Total Crashes</t>
  </si>
  <si>
    <t>Crashes in dark</t>
  </si>
  <si>
    <t>Crashes at intersection</t>
  </si>
  <si>
    <t>Injuries</t>
  </si>
  <si>
    <t>Fatalities</t>
  </si>
  <si>
    <t>Bike</t>
  </si>
  <si>
    <t>Pedestrian</t>
  </si>
  <si>
    <t>White Sealant</t>
  </si>
  <si>
    <t>Installation Labor</t>
  </si>
  <si>
    <t>SY</t>
  </si>
  <si>
    <t>Double Yellow</t>
  </si>
  <si>
    <t>Parking Lane</t>
  </si>
  <si>
    <t>Crosswalk</t>
  </si>
  <si>
    <t>Stop Bar</t>
  </si>
  <si>
    <t>Zig-Zag Marking</t>
  </si>
  <si>
    <t>Traffic Circle</t>
  </si>
  <si>
    <t>Light Pole</t>
  </si>
  <si>
    <t>LED Light</t>
  </si>
  <si>
    <t>Energy</t>
  </si>
  <si>
    <t>Street Tree</t>
  </si>
  <si>
    <t>Irrigation</t>
  </si>
  <si>
    <t>Woonerf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</si>
</sst>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0" fillId="0" borderId="0" xfId="0" applyNumberFormat="1"/>
    <xf numFmtId="44" fontId="0" fillId="0" borderId="0" xfId="2" applyFont="1"/>
    <xf numFmtId="44" fontId="2" fillId="0" borderId="0" xfId="2" applyFont="1"/>
    <xf numFmtId="0" fontId="3" fillId="0" borderId="0" xfId="0" applyFont="1"/>
    <xf numFmtId="0" fontId="4" fillId="0" borderId="0" xfId="3"/>
    <xf numFmtId="43" fontId="0" fillId="0" borderId="0" xfId="1" applyFont="1"/>
    <xf numFmtId="43" fontId="2" fillId="0" borderId="0" xfId="1" applyFont="1"/>
    <xf numFmtId="43" fontId="0" fillId="0" borderId="0" xfId="0" applyNumberFormat="1"/>
    <xf numFmtId="10" fontId="0" fillId="0" borderId="0" xfId="4" applyNumberFormat="1" applyFont="1"/>
    <xf numFmtId="44" fontId="2" fillId="0" borderId="1" xfId="2" applyFont="1" applyBorder="1"/>
    <xf numFmtId="44" fontId="2" fillId="0" borderId="1" xfId="0" applyNumberFormat="1" applyFont="1" applyBorder="1"/>
    <xf numFmtId="44" fontId="0" fillId="0" borderId="0" xfId="0" applyNumberFormat="1"/>
    <xf numFmtId="3" fontId="0" fillId="0" borderId="0" xfId="0" applyNumberFormat="1"/>
    <xf numFmtId="0" fontId="7" fillId="2" borderId="0" xfId="0" applyFont="1" applyFill="1"/>
    <xf numFmtId="2" fontId="2" fillId="0" borderId="0" xfId="0" applyNumberFormat="1" applyFont="1"/>
    <xf numFmtId="2" fontId="7" fillId="2" borderId="0" xfId="0" applyNumberFormat="1" applyFont="1" applyFill="1"/>
    <xf numFmtId="2" fontId="0" fillId="0" borderId="0" xfId="0" applyNumberFormat="1"/>
    <xf numFmtId="44" fontId="2" fillId="0" borderId="0" xfId="0" applyNumberFormat="1" applyFont="1"/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C20" sqref="C20"/>
    </sheetView>
  </sheetViews>
  <sheetFormatPr defaultRowHeight="15" x14ac:dyDescent="0.25"/>
  <cols>
    <col min="1" max="1" width="31.5703125" customWidth="1"/>
    <col min="2" max="2" width="12.5703125" bestFit="1" customWidth="1"/>
    <col min="4" max="4" width="17.42578125" bestFit="1" customWidth="1"/>
    <col min="5" max="5" width="26.7109375" bestFit="1" customWidth="1"/>
    <col min="6" max="6" width="13.28515625" bestFit="1" customWidth="1"/>
  </cols>
  <sheetData>
    <row r="1" spans="1:6" x14ac:dyDescent="0.25">
      <c r="A1" s="1" t="s">
        <v>0</v>
      </c>
      <c r="B1" s="1" t="s">
        <v>4</v>
      </c>
      <c r="C1" s="1" t="s">
        <v>1</v>
      </c>
      <c r="D1" s="1" t="s">
        <v>5</v>
      </c>
      <c r="E1" s="1" t="s">
        <v>16</v>
      </c>
      <c r="F1" s="1" t="s">
        <v>7</v>
      </c>
    </row>
    <row r="2" spans="1:6" x14ac:dyDescent="0.25">
      <c r="A2" t="s">
        <v>40</v>
      </c>
      <c r="B2" s="7">
        <v>46983.189999999995</v>
      </c>
      <c r="D2">
        <v>40</v>
      </c>
      <c r="E2">
        <v>30</v>
      </c>
      <c r="F2" s="7">
        <f>B2*E2</f>
        <v>1409495.7</v>
      </c>
    </row>
    <row r="3" spans="1:6" x14ac:dyDescent="0.25">
      <c r="A3" t="s">
        <v>2</v>
      </c>
      <c r="B3" s="7">
        <v>2615.75</v>
      </c>
      <c r="D3">
        <v>40</v>
      </c>
      <c r="E3">
        <v>30</v>
      </c>
      <c r="F3" s="7">
        <f t="shared" ref="F3:F4" si="0">B3*E3</f>
        <v>78472.5</v>
      </c>
    </row>
    <row r="4" spans="1:6" x14ac:dyDescent="0.25">
      <c r="A4" s="1" t="s">
        <v>6</v>
      </c>
      <c r="B4" s="8">
        <f>SUM(B2:B3)</f>
        <v>49598.939999999995</v>
      </c>
      <c r="C4" s="1"/>
      <c r="D4" s="1">
        <v>40</v>
      </c>
      <c r="E4" s="1">
        <v>30</v>
      </c>
      <c r="F4" s="8">
        <f t="shared" si="0"/>
        <v>1487968.2</v>
      </c>
    </row>
    <row r="6" spans="1:6" x14ac:dyDescent="0.25">
      <c r="A6" t="s">
        <v>3</v>
      </c>
      <c r="C6">
        <v>64</v>
      </c>
    </row>
    <row r="25" spans="2:2" x14ac:dyDescent="0.25">
      <c r="B25" s="9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4503-C835-4877-9768-C1DA05BC6389}">
  <dimension ref="A1:G5"/>
  <sheetViews>
    <sheetView workbookViewId="0">
      <selection activeCell="B19" sqref="B19"/>
    </sheetView>
  </sheetViews>
  <sheetFormatPr defaultRowHeight="15" x14ac:dyDescent="0.25"/>
  <cols>
    <col min="1" max="1" width="19.42578125" customWidth="1"/>
    <col min="5" max="5" width="14.28515625" bestFit="1" customWidth="1"/>
    <col min="7" max="7" width="15.28515625" bestFit="1" customWidth="1"/>
  </cols>
  <sheetData>
    <row r="1" spans="1:7" x14ac:dyDescent="0.25">
      <c r="A1" t="s">
        <v>71</v>
      </c>
      <c r="B1">
        <v>2</v>
      </c>
      <c r="D1">
        <v>10772</v>
      </c>
      <c r="E1">
        <f>D1*B1</f>
        <v>21544</v>
      </c>
    </row>
    <row r="2" spans="1:7" x14ac:dyDescent="0.25">
      <c r="A2" t="s">
        <v>72</v>
      </c>
      <c r="B2">
        <v>2</v>
      </c>
      <c r="D2">
        <v>5480</v>
      </c>
      <c r="E2">
        <f>D2*B2</f>
        <v>10960</v>
      </c>
    </row>
    <row r="3" spans="1:7" x14ac:dyDescent="0.25">
      <c r="A3" t="s">
        <v>69</v>
      </c>
      <c r="B3">
        <v>14</v>
      </c>
      <c r="D3">
        <v>107020</v>
      </c>
      <c r="E3">
        <f t="shared" ref="E3:E4" si="0">D3*B3</f>
        <v>1498280</v>
      </c>
    </row>
    <row r="4" spans="1:7" x14ac:dyDescent="0.25">
      <c r="A4" t="s">
        <v>70</v>
      </c>
      <c r="B4">
        <v>2</v>
      </c>
      <c r="D4">
        <v>3532</v>
      </c>
      <c r="E4">
        <f t="shared" si="0"/>
        <v>7064</v>
      </c>
    </row>
    <row r="5" spans="1:7" x14ac:dyDescent="0.25">
      <c r="E5" s="3">
        <f>SUM(E1:E4)</f>
        <v>1537848</v>
      </c>
      <c r="G5" s="13">
        <f>E5*4</f>
        <v>6151392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11AFD-726A-4AE6-BC49-7E616FF088A5}">
  <dimension ref="A1:E8"/>
  <sheetViews>
    <sheetView workbookViewId="0">
      <selection activeCell="K27" sqref="K27"/>
    </sheetView>
  </sheetViews>
  <sheetFormatPr defaultRowHeight="15" x14ac:dyDescent="0.25"/>
  <cols>
    <col min="1" max="1" width="21.5703125" bestFit="1" customWidth="1"/>
    <col min="5" max="5" width="9.140625" style="1"/>
  </cols>
  <sheetData>
    <row r="1" spans="1:5" x14ac:dyDescent="0.25">
      <c r="B1">
        <v>2017</v>
      </c>
      <c r="C1">
        <v>2016</v>
      </c>
      <c r="D1">
        <v>2015</v>
      </c>
      <c r="E1" s="1" t="s">
        <v>73</v>
      </c>
    </row>
    <row r="2" spans="1:5" x14ac:dyDescent="0.25">
      <c r="A2" t="s">
        <v>74</v>
      </c>
      <c r="B2">
        <v>18</v>
      </c>
      <c r="C2">
        <v>16</v>
      </c>
      <c r="D2">
        <v>17</v>
      </c>
      <c r="E2" s="1">
        <f>AVERAGE(B2:D2)</f>
        <v>17</v>
      </c>
    </row>
    <row r="3" spans="1:5" x14ac:dyDescent="0.25">
      <c r="A3" t="s">
        <v>75</v>
      </c>
      <c r="B3">
        <v>6</v>
      </c>
      <c r="C3">
        <v>4</v>
      </c>
      <c r="D3">
        <v>5</v>
      </c>
      <c r="E3" s="1">
        <f t="shared" ref="E3:E8" si="0">AVERAGE(B3:D3)</f>
        <v>5</v>
      </c>
    </row>
    <row r="4" spans="1:5" x14ac:dyDescent="0.25">
      <c r="A4" t="s">
        <v>76</v>
      </c>
      <c r="B4">
        <v>14</v>
      </c>
      <c r="C4">
        <v>12</v>
      </c>
      <c r="D4">
        <v>16</v>
      </c>
      <c r="E4" s="1">
        <f t="shared" si="0"/>
        <v>14</v>
      </c>
    </row>
    <row r="5" spans="1:5" x14ac:dyDescent="0.25">
      <c r="A5" t="s">
        <v>77</v>
      </c>
      <c r="B5">
        <v>4</v>
      </c>
      <c r="C5">
        <v>5</v>
      </c>
      <c r="D5">
        <v>15</v>
      </c>
      <c r="E5" s="1">
        <f t="shared" si="0"/>
        <v>8</v>
      </c>
    </row>
    <row r="6" spans="1:5" x14ac:dyDescent="0.25">
      <c r="A6" t="s">
        <v>78</v>
      </c>
      <c r="B6">
        <v>0</v>
      </c>
      <c r="C6">
        <v>0</v>
      </c>
      <c r="D6">
        <v>0</v>
      </c>
      <c r="E6" s="1">
        <f t="shared" si="0"/>
        <v>0</v>
      </c>
    </row>
    <row r="7" spans="1:5" x14ac:dyDescent="0.25">
      <c r="A7" t="s">
        <v>79</v>
      </c>
      <c r="B7">
        <v>0</v>
      </c>
      <c r="C7">
        <v>1</v>
      </c>
      <c r="D7">
        <v>1</v>
      </c>
      <c r="E7" s="1">
        <f t="shared" si="0"/>
        <v>0.66666666666666663</v>
      </c>
    </row>
    <row r="8" spans="1:5" x14ac:dyDescent="0.25">
      <c r="A8" t="s">
        <v>80</v>
      </c>
      <c r="B8">
        <v>0</v>
      </c>
      <c r="C8">
        <v>0</v>
      </c>
      <c r="D8">
        <v>0</v>
      </c>
      <c r="E8" s="1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B656F-A52E-4C8D-9132-D092BBA6F1E0}">
  <dimension ref="A1:J14"/>
  <sheetViews>
    <sheetView workbookViewId="0">
      <selection activeCell="B19" sqref="B19"/>
    </sheetView>
  </sheetViews>
  <sheetFormatPr defaultRowHeight="15" x14ac:dyDescent="0.25"/>
  <cols>
    <col min="1" max="1" width="25.7109375" bestFit="1" customWidth="1"/>
    <col min="5" max="5" width="13.28515625" customWidth="1"/>
    <col min="6" max="6" width="99.28515625" bestFit="1" customWidth="1"/>
    <col min="7" max="7" width="14.28515625" bestFit="1" customWidth="1"/>
    <col min="8" max="8" width="16.5703125" customWidth="1"/>
    <col min="9" max="9" width="14.5703125" bestFit="1" customWidth="1"/>
  </cols>
  <sheetData>
    <row r="1" spans="1:10" ht="18.75" x14ac:dyDescent="0.3">
      <c r="A1" s="5" t="s">
        <v>32</v>
      </c>
    </row>
    <row r="2" spans="1:10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J2" s="1" t="s">
        <v>46</v>
      </c>
    </row>
    <row r="3" spans="1:10" x14ac:dyDescent="0.25">
      <c r="A3" t="s">
        <v>13</v>
      </c>
      <c r="B3">
        <v>93966.38</v>
      </c>
      <c r="C3" t="s">
        <v>21</v>
      </c>
      <c r="D3">
        <v>0.95</v>
      </c>
      <c r="E3" s="3">
        <f>D3*B3</f>
        <v>89268.061000000002</v>
      </c>
      <c r="F3" t="s">
        <v>34</v>
      </c>
      <c r="G3" t="s">
        <v>24</v>
      </c>
      <c r="H3">
        <v>3</v>
      </c>
      <c r="I3" s="3">
        <f>E3*((J$4*(1+J$4)^H3)/((1+J$4)^H3-1))</f>
        <v>30353.114589076682</v>
      </c>
      <c r="J3" s="10">
        <v>0.01</v>
      </c>
    </row>
    <row r="4" spans="1:10" x14ac:dyDescent="0.25">
      <c r="A4" t="s">
        <v>17</v>
      </c>
      <c r="B4">
        <v>99197.87999999999</v>
      </c>
      <c r="C4" t="s">
        <v>21</v>
      </c>
      <c r="D4">
        <v>0.95</v>
      </c>
      <c r="E4" s="3">
        <f t="shared" ref="E4:E7" si="0">D4*B4</f>
        <v>94237.98599999999</v>
      </c>
      <c r="F4" t="s">
        <v>39</v>
      </c>
      <c r="G4" t="s">
        <v>24</v>
      </c>
      <c r="H4">
        <v>3</v>
      </c>
      <c r="I4" s="3">
        <f>E4*((J$4*(1+J$4)^H4)/((1+J$4)^H4-1))</f>
        <v>32042.998981481225</v>
      </c>
      <c r="J4">
        <v>0.01</v>
      </c>
    </row>
    <row r="5" spans="1:10" x14ac:dyDescent="0.25">
      <c r="A5" t="s">
        <v>14</v>
      </c>
      <c r="B5">
        <v>256</v>
      </c>
      <c r="C5" t="s">
        <v>27</v>
      </c>
      <c r="D5">
        <v>770</v>
      </c>
      <c r="E5" s="3">
        <f t="shared" si="0"/>
        <v>197120</v>
      </c>
      <c r="F5" t="s">
        <v>22</v>
      </c>
      <c r="G5" t="s">
        <v>26</v>
      </c>
      <c r="H5">
        <v>3</v>
      </c>
      <c r="I5" s="3">
        <f>E5*((J$4*(1+J$4)^H5)/((1+J$4)^H5-1))</f>
        <v>67025.15861522741</v>
      </c>
    </row>
    <row r="6" spans="1:10" x14ac:dyDescent="0.25">
      <c r="A6" t="s">
        <v>15</v>
      </c>
      <c r="B6">
        <v>6</v>
      </c>
      <c r="C6" t="s">
        <v>27</v>
      </c>
      <c r="D6">
        <v>2850</v>
      </c>
      <c r="E6" s="3">
        <f t="shared" si="0"/>
        <v>17100</v>
      </c>
      <c r="F6" t="s">
        <v>18</v>
      </c>
      <c r="G6" t="s">
        <v>25</v>
      </c>
      <c r="H6">
        <v>3</v>
      </c>
      <c r="I6" s="3">
        <f>E6*((J$4*(1+J$4)^H6)/((1+J$4)^H6-1))</f>
        <v>5814.3781063331407</v>
      </c>
    </row>
    <row r="7" spans="1:10" x14ac:dyDescent="0.25">
      <c r="A7" t="s">
        <v>19</v>
      </c>
      <c r="B7">
        <v>1920</v>
      </c>
      <c r="C7" t="s">
        <v>21</v>
      </c>
      <c r="D7">
        <v>2.5</v>
      </c>
      <c r="E7" s="3">
        <f t="shared" si="0"/>
        <v>4800</v>
      </c>
      <c r="F7" t="s">
        <v>28</v>
      </c>
      <c r="G7" t="s">
        <v>29</v>
      </c>
      <c r="H7">
        <v>3</v>
      </c>
      <c r="I7" s="3">
        <f>E7*((J$4*(1+J$4)^H7)/((1+J$4)^H7-1))</f>
        <v>1632.106135111057</v>
      </c>
    </row>
    <row r="8" spans="1:10" x14ac:dyDescent="0.25">
      <c r="A8" s="1" t="s">
        <v>10</v>
      </c>
      <c r="B8" s="1"/>
      <c r="C8" s="1"/>
      <c r="D8" s="1"/>
      <c r="E8" s="4">
        <f>SUM(E3:E7)</f>
        <v>402526.04700000002</v>
      </c>
      <c r="I8" s="4">
        <f>SUM(I3:I7)</f>
        <v>136867.75642722953</v>
      </c>
    </row>
    <row r="13" spans="1:10" x14ac:dyDescent="0.25">
      <c r="I13" s="3"/>
    </row>
    <row r="14" spans="1:10" x14ac:dyDescent="0.25">
      <c r="I14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7DF7D-126C-4546-B900-59C2E5E3E312}">
  <dimension ref="A1:R13"/>
  <sheetViews>
    <sheetView workbookViewId="0">
      <selection activeCell="F17" sqref="F17"/>
    </sheetView>
  </sheetViews>
  <sheetFormatPr defaultRowHeight="15" x14ac:dyDescent="0.25"/>
  <cols>
    <col min="1" max="1" width="17.28515625" bestFit="1" customWidth="1"/>
    <col min="5" max="5" width="16.28515625" customWidth="1"/>
    <col min="6" max="6" width="45.140625" bestFit="1" customWidth="1"/>
    <col min="7" max="7" width="9.140625" customWidth="1"/>
    <col min="8" max="8" width="15.140625" bestFit="1" customWidth="1"/>
    <col min="9" max="9" width="14.5703125" bestFit="1" customWidth="1"/>
    <col min="12" max="12" width="21.7109375" bestFit="1" customWidth="1"/>
    <col min="17" max="17" width="12.5703125" bestFit="1" customWidth="1"/>
    <col min="18" max="18" width="11.5703125" bestFit="1" customWidth="1"/>
  </cols>
  <sheetData>
    <row r="1" spans="1:18" ht="18.75" x14ac:dyDescent="0.3">
      <c r="A1" s="5" t="s">
        <v>32</v>
      </c>
    </row>
    <row r="2" spans="1:18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8" x14ac:dyDescent="0.25">
      <c r="A3" t="s">
        <v>31</v>
      </c>
      <c r="B3">
        <v>8</v>
      </c>
      <c r="C3" t="s">
        <v>27</v>
      </c>
      <c r="D3">
        <v>10000</v>
      </c>
      <c r="E3" s="3">
        <f t="shared" ref="E3" si="0">D3*B3</f>
        <v>80000</v>
      </c>
      <c r="G3" t="s">
        <v>38</v>
      </c>
      <c r="H3">
        <v>25</v>
      </c>
      <c r="I3" s="3">
        <f>E3*((L$4*(1+L$4)^H3)/((1+L$4)^H3-1))</f>
        <v>3632.540272043836</v>
      </c>
      <c r="L3" s="10">
        <v>0.01</v>
      </c>
    </row>
    <row r="4" spans="1:18" x14ac:dyDescent="0.25">
      <c r="A4" t="s">
        <v>43</v>
      </c>
      <c r="E4" s="3"/>
      <c r="I4" s="3"/>
      <c r="L4">
        <v>0.01</v>
      </c>
    </row>
    <row r="5" spans="1:18" x14ac:dyDescent="0.25">
      <c r="A5" s="1" t="s">
        <v>10</v>
      </c>
      <c r="B5" s="1"/>
      <c r="C5" s="1"/>
      <c r="D5" s="1"/>
      <c r="E5" s="4">
        <f>SUM(E3:E3)</f>
        <v>80000</v>
      </c>
      <c r="I5" s="12">
        <f>SUM(I3)</f>
        <v>3632.540272043836</v>
      </c>
    </row>
    <row r="6" spans="1:18" x14ac:dyDescent="0.25">
      <c r="A6" s="1"/>
      <c r="B6" s="1"/>
      <c r="C6" s="1"/>
      <c r="D6" s="1"/>
      <c r="E6" s="1"/>
    </row>
    <row r="7" spans="1:18" x14ac:dyDescent="0.25">
      <c r="A7" s="1"/>
      <c r="B7" s="1"/>
      <c r="C7" s="1"/>
      <c r="D7" s="1"/>
      <c r="E7" s="1"/>
    </row>
    <row r="12" spans="1:18" x14ac:dyDescent="0.25">
      <c r="Q12" s="3"/>
      <c r="R12" s="13"/>
    </row>
    <row r="13" spans="1:18" x14ac:dyDescent="0.25">
      <c r="Q13" s="3"/>
      <c r="R13" s="13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FDF09-C698-47B9-8EB0-29C00A0F03FD}">
  <dimension ref="A1:L13"/>
  <sheetViews>
    <sheetView workbookViewId="0">
      <selection activeCell="I7" sqref="I7"/>
    </sheetView>
  </sheetViews>
  <sheetFormatPr defaultRowHeight="15" x14ac:dyDescent="0.25"/>
  <cols>
    <col min="1" max="1" width="17.28515625" bestFit="1" customWidth="1"/>
    <col min="5" max="5" width="16.28515625" customWidth="1"/>
    <col min="6" max="6" width="56.28515625" bestFit="1" customWidth="1"/>
    <col min="7" max="7" width="12.5703125" customWidth="1"/>
    <col min="8" max="8" width="15.140625" bestFit="1" customWidth="1"/>
    <col min="9" max="9" width="14.5703125" bestFit="1" customWidth="1"/>
    <col min="12" max="12" width="21.7109375" bestFit="1" customWidth="1"/>
  </cols>
  <sheetData>
    <row r="1" spans="1:12" ht="18.75" x14ac:dyDescent="0.3">
      <c r="A1" s="5" t="s">
        <v>32</v>
      </c>
    </row>
    <row r="2" spans="1:12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2" x14ac:dyDescent="0.25">
      <c r="A3" t="s">
        <v>47</v>
      </c>
      <c r="B3">
        <v>224</v>
      </c>
      <c r="C3" t="s">
        <v>27</v>
      </c>
      <c r="D3">
        <v>4880</v>
      </c>
      <c r="E3" s="3">
        <f>D3*B3</f>
        <v>1093120</v>
      </c>
      <c r="F3" t="s">
        <v>41</v>
      </c>
      <c r="G3" t="s">
        <v>26</v>
      </c>
      <c r="H3">
        <v>75</v>
      </c>
      <c r="I3" s="3">
        <f>E3*((L$4*(1+L$4)^H3)/((1+L$4)^H3-1))</f>
        <v>20786.866238737832</v>
      </c>
      <c r="L3" s="10">
        <v>0.01</v>
      </c>
    </row>
    <row r="4" spans="1:12" x14ac:dyDescent="0.25">
      <c r="A4" t="s">
        <v>48</v>
      </c>
      <c r="B4">
        <v>224</v>
      </c>
      <c r="C4" t="s">
        <v>27</v>
      </c>
      <c r="D4">
        <v>40</v>
      </c>
      <c r="E4" s="3">
        <f>D4*B4</f>
        <v>8960</v>
      </c>
      <c r="G4" t="s">
        <v>49</v>
      </c>
      <c r="H4">
        <v>10</v>
      </c>
      <c r="I4" s="3">
        <f>E4*((L$4*(1+L$4)^H4)/((1+L$4)^H4-1))</f>
        <v>946.01540589849344</v>
      </c>
      <c r="L4">
        <v>0.01</v>
      </c>
    </row>
    <row r="5" spans="1:12" x14ac:dyDescent="0.25">
      <c r="E5" s="3"/>
      <c r="I5" s="3">
        <v>10322</v>
      </c>
    </row>
    <row r="6" spans="1:12" x14ac:dyDescent="0.25">
      <c r="A6" s="1" t="s">
        <v>10</v>
      </c>
      <c r="B6" s="1"/>
      <c r="C6" s="1"/>
      <c r="D6" s="1"/>
      <c r="E6" s="4">
        <f>SUM(E3:E4)</f>
        <v>1102080</v>
      </c>
      <c r="I6" s="11">
        <f>SUM(I3:I5)</f>
        <v>32054.881644636323</v>
      </c>
    </row>
    <row r="7" spans="1:12" x14ac:dyDescent="0.25">
      <c r="A7" s="1"/>
      <c r="B7" s="1"/>
      <c r="C7" s="1"/>
      <c r="D7" s="1"/>
      <c r="E7" s="1"/>
    </row>
    <row r="8" spans="1:12" x14ac:dyDescent="0.25">
      <c r="A8" s="1"/>
      <c r="B8" s="1"/>
      <c r="C8" s="1"/>
      <c r="D8" s="1"/>
      <c r="E8" s="1"/>
    </row>
    <row r="12" spans="1:12" x14ac:dyDescent="0.25">
      <c r="G12" s="3"/>
    </row>
    <row r="13" spans="1:12" x14ac:dyDescent="0.25">
      <c r="G13" s="3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AFBA4-B141-443C-835A-E167582AD787}">
  <dimension ref="A1:L20"/>
  <sheetViews>
    <sheetView workbookViewId="0">
      <selection activeCell="F28" sqref="F28"/>
    </sheetView>
  </sheetViews>
  <sheetFormatPr defaultRowHeight="15" x14ac:dyDescent="0.25"/>
  <cols>
    <col min="1" max="1" width="27.140625" customWidth="1"/>
    <col min="3" max="3" width="11.5703125" bestFit="1" customWidth="1"/>
    <col min="5" max="5" width="16.28515625" customWidth="1"/>
    <col min="6" max="6" width="60" customWidth="1"/>
    <col min="8" max="8" width="15.140625" bestFit="1" customWidth="1"/>
    <col min="9" max="9" width="14.5703125" bestFit="1" customWidth="1"/>
    <col min="12" max="12" width="21.7109375" bestFit="1" customWidth="1"/>
  </cols>
  <sheetData>
    <row r="1" spans="1:12" ht="18.75" x14ac:dyDescent="0.3">
      <c r="A1" s="5" t="s">
        <v>32</v>
      </c>
    </row>
    <row r="2" spans="1:12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2" x14ac:dyDescent="0.25">
      <c r="A3" t="s">
        <v>30</v>
      </c>
      <c r="B3">
        <v>156</v>
      </c>
      <c r="C3" t="s">
        <v>27</v>
      </c>
      <c r="D3">
        <v>317.32</v>
      </c>
      <c r="E3" s="3">
        <f>D3*B3</f>
        <v>49501.919999999998</v>
      </c>
      <c r="F3" t="s">
        <v>33</v>
      </c>
      <c r="G3" t="s">
        <v>24</v>
      </c>
      <c r="H3">
        <v>25</v>
      </c>
      <c r="I3" s="3">
        <f>E3*((L$4*(1+L$4)^H3)/((1+L$4)^H3-1))</f>
        <v>2247.7214742936526</v>
      </c>
      <c r="L3" s="10">
        <v>0.01</v>
      </c>
    </row>
    <row r="4" spans="1:12" x14ac:dyDescent="0.25">
      <c r="A4" t="s">
        <v>37</v>
      </c>
      <c r="B4">
        <v>156</v>
      </c>
      <c r="C4" t="s">
        <v>27</v>
      </c>
      <c r="D4">
        <v>13000</v>
      </c>
      <c r="E4" s="3">
        <f>D4*B4</f>
        <v>2028000</v>
      </c>
      <c r="G4" t="s">
        <v>26</v>
      </c>
      <c r="H4">
        <v>25</v>
      </c>
      <c r="I4" s="3">
        <f>E4*((L$4*(1+L$4)^H4)/((1+L$4)^H4-1))</f>
        <v>92084.895896311238</v>
      </c>
      <c r="L4">
        <v>0.01</v>
      </c>
    </row>
    <row r="5" spans="1:12" x14ac:dyDescent="0.25">
      <c r="A5" t="s">
        <v>42</v>
      </c>
      <c r="E5" s="3"/>
      <c r="F5" t="s">
        <v>50</v>
      </c>
      <c r="G5" t="s">
        <v>24</v>
      </c>
      <c r="I5" s="3">
        <f>100*156*52*(1.63/748)</f>
        <v>1767.7219251336899</v>
      </c>
    </row>
    <row r="6" spans="1:12" x14ac:dyDescent="0.25">
      <c r="A6" s="1" t="s">
        <v>10</v>
      </c>
      <c r="B6" s="1"/>
      <c r="C6" s="1"/>
      <c r="D6" s="1"/>
      <c r="E6" s="4">
        <f>SUM(E3:E5)</f>
        <v>2077501.92</v>
      </c>
      <c r="I6" s="12">
        <f>SUM(I3:I5)</f>
        <v>96100.33929573858</v>
      </c>
    </row>
    <row r="7" spans="1:12" x14ac:dyDescent="0.25">
      <c r="A7" s="1"/>
      <c r="B7" s="1"/>
      <c r="C7" s="1"/>
      <c r="D7" s="1"/>
      <c r="E7" s="1"/>
    </row>
    <row r="8" spans="1:12" x14ac:dyDescent="0.25">
      <c r="A8" s="1"/>
      <c r="B8" s="1"/>
      <c r="C8" s="1"/>
      <c r="D8" s="1"/>
      <c r="E8" s="1"/>
    </row>
    <row r="19" spans="3:3" x14ac:dyDescent="0.25">
      <c r="C19" s="3"/>
    </row>
    <row r="20" spans="3:3" x14ac:dyDescent="0.25">
      <c r="C20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741A-4FA7-42BC-BF26-E7400F2E100D}">
  <dimension ref="A1:L5"/>
  <sheetViews>
    <sheetView workbookViewId="0">
      <selection activeCell="F28" sqref="F28"/>
    </sheetView>
  </sheetViews>
  <sheetFormatPr defaultRowHeight="15" x14ac:dyDescent="0.25"/>
  <cols>
    <col min="1" max="1" width="20.42578125" bestFit="1" customWidth="1"/>
    <col min="2" max="2" width="11.5703125" bestFit="1" customWidth="1"/>
    <col min="5" max="5" width="15.28515625" customWidth="1"/>
    <col min="6" max="6" width="149" bestFit="1" customWidth="1"/>
    <col min="8" max="8" width="15.140625" bestFit="1" customWidth="1"/>
    <col min="9" max="9" width="14.5703125" bestFit="1" customWidth="1"/>
    <col min="12" max="12" width="21.7109375" bestFit="1" customWidth="1"/>
  </cols>
  <sheetData>
    <row r="1" spans="1:12" ht="18.75" x14ac:dyDescent="0.3">
      <c r="A1" s="5" t="s">
        <v>32</v>
      </c>
    </row>
    <row r="2" spans="1:12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2" x14ac:dyDescent="0.25">
      <c r="A3" t="s">
        <v>35</v>
      </c>
      <c r="B3" s="2">
        <v>13.82</v>
      </c>
      <c r="C3" t="s">
        <v>36</v>
      </c>
      <c r="D3">
        <v>73400</v>
      </c>
      <c r="E3" s="3">
        <v>1071338</v>
      </c>
      <c r="H3">
        <v>15</v>
      </c>
      <c r="I3" s="3">
        <f>E3*((L$4*(1+L$4)^H3)/((1+L$4)^H3-1))</f>
        <v>77268.946415738639</v>
      </c>
      <c r="L3" s="10">
        <v>0.01</v>
      </c>
    </row>
    <row r="4" spans="1:12" x14ac:dyDescent="0.25">
      <c r="A4" s="1" t="s">
        <v>10</v>
      </c>
      <c r="B4" s="1"/>
      <c r="C4" s="1"/>
      <c r="D4" s="1"/>
      <c r="E4" s="4">
        <f>SUM(E3:E3)</f>
        <v>1071338</v>
      </c>
      <c r="G4" s="6"/>
      <c r="I4" s="3"/>
      <c r="L4">
        <v>0.01</v>
      </c>
    </row>
    <row r="5" spans="1:12" x14ac:dyDescent="0.25">
      <c r="G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DBEB-CC2E-439A-8956-095611CF97EF}">
  <dimension ref="A1:L6"/>
  <sheetViews>
    <sheetView workbookViewId="0">
      <selection activeCell="F19" sqref="F19"/>
    </sheetView>
  </sheetViews>
  <sheetFormatPr defaultRowHeight="15" x14ac:dyDescent="0.25"/>
  <cols>
    <col min="1" max="1" width="20.42578125" bestFit="1" customWidth="1"/>
    <col min="2" max="2" width="11.5703125" bestFit="1" customWidth="1"/>
    <col min="5" max="5" width="15.28515625" customWidth="1"/>
    <col min="6" max="6" width="149" bestFit="1" customWidth="1"/>
    <col min="8" max="8" width="15.140625" bestFit="1" customWidth="1"/>
    <col min="9" max="9" width="14.5703125" bestFit="1" customWidth="1"/>
    <col min="12" max="12" width="21.7109375" bestFit="1" customWidth="1"/>
  </cols>
  <sheetData>
    <row r="1" spans="1:12" ht="18.75" x14ac:dyDescent="0.3">
      <c r="A1" s="5" t="s">
        <v>32</v>
      </c>
    </row>
    <row r="2" spans="1:12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2" x14ac:dyDescent="0.25">
      <c r="A3" t="s">
        <v>81</v>
      </c>
      <c r="B3" s="2">
        <v>165330</v>
      </c>
      <c r="C3" t="s">
        <v>83</v>
      </c>
      <c r="D3">
        <v>1.37</v>
      </c>
      <c r="E3" s="3">
        <f>D3*B3</f>
        <v>226502.1</v>
      </c>
      <c r="H3">
        <v>5</v>
      </c>
      <c r="I3" s="3">
        <f>E3*((L$5*(1+L$5)^H3)/((1+L$5)^H3-1))</f>
        <v>46668.447296576087</v>
      </c>
      <c r="L3" s="10">
        <v>0.01</v>
      </c>
    </row>
    <row r="4" spans="1:12" x14ac:dyDescent="0.25">
      <c r="A4" t="s">
        <v>82</v>
      </c>
      <c r="B4" s="2">
        <v>165330</v>
      </c>
      <c r="C4" t="s">
        <v>83</v>
      </c>
      <c r="D4" s="18">
        <v>2.7</v>
      </c>
      <c r="E4" s="3">
        <f>D4*B4</f>
        <v>446391.00000000006</v>
      </c>
      <c r="H4">
        <v>5</v>
      </c>
      <c r="I4" s="3">
        <f>E4*((L$5*(1+L$5)^H4)/((1+L$5)^H4-1))</f>
        <v>91974.312190332435</v>
      </c>
      <c r="L4" s="10"/>
    </row>
    <row r="5" spans="1:12" x14ac:dyDescent="0.25">
      <c r="A5" s="1" t="s">
        <v>10</v>
      </c>
      <c r="B5" s="1"/>
      <c r="C5" s="1"/>
      <c r="D5" s="1"/>
      <c r="E5" s="4">
        <f>SUM(E3:E4)</f>
        <v>672893.10000000009</v>
      </c>
      <c r="G5" s="6"/>
      <c r="I5" s="4">
        <f>SUM(I3:I4)</f>
        <v>138642.75948690853</v>
      </c>
      <c r="L5">
        <v>0.01</v>
      </c>
    </row>
    <row r="6" spans="1:12" x14ac:dyDescent="0.25">
      <c r="G6" s="6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48899-C6E0-42F3-A39B-720F661580ED}">
  <dimension ref="A1:L17"/>
  <sheetViews>
    <sheetView workbookViewId="0">
      <selection activeCell="L19" sqref="L19"/>
    </sheetView>
  </sheetViews>
  <sheetFormatPr defaultRowHeight="15" x14ac:dyDescent="0.25"/>
  <cols>
    <col min="1" max="1" width="28.28515625" customWidth="1"/>
    <col min="4" max="4" width="11.5703125" bestFit="1" customWidth="1"/>
    <col min="5" max="5" width="15" customWidth="1"/>
    <col min="8" max="8" width="15.140625" bestFit="1" customWidth="1"/>
    <col min="9" max="9" width="14.5703125" bestFit="1" customWidth="1"/>
    <col min="12" max="12" width="21.7109375" bestFit="1" customWidth="1"/>
  </cols>
  <sheetData>
    <row r="1" spans="1:12" ht="18.75" x14ac:dyDescent="0.3">
      <c r="A1" s="5" t="s">
        <v>32</v>
      </c>
    </row>
    <row r="2" spans="1:12" x14ac:dyDescent="0.25">
      <c r="A2" s="1" t="s">
        <v>8</v>
      </c>
      <c r="B2" s="1" t="s">
        <v>1</v>
      </c>
      <c r="C2" s="1" t="s">
        <v>11</v>
      </c>
      <c r="D2" s="1" t="s">
        <v>9</v>
      </c>
      <c r="E2" s="1" t="s">
        <v>20</v>
      </c>
      <c r="F2" s="1" t="s">
        <v>12</v>
      </c>
      <c r="G2" s="1" t="s">
        <v>23</v>
      </c>
      <c r="H2" s="1" t="s">
        <v>44</v>
      </c>
      <c r="I2" s="1" t="s">
        <v>45</v>
      </c>
      <c r="L2" s="1" t="s">
        <v>46</v>
      </c>
    </row>
    <row r="3" spans="1:12" x14ac:dyDescent="0.25">
      <c r="A3" t="s">
        <v>84</v>
      </c>
      <c r="B3" s="14">
        <v>93966</v>
      </c>
      <c r="C3" t="s">
        <v>21</v>
      </c>
      <c r="D3" s="3">
        <v>0.95</v>
      </c>
      <c r="E3" s="3">
        <f>D3*B3</f>
        <v>89267.7</v>
      </c>
      <c r="H3">
        <v>3</v>
      </c>
      <c r="I3" s="3">
        <f>E3*((L$4*(1+L$4)^H3)/((1+L$4)^H3-1))</f>
        <v>30352.991841094437</v>
      </c>
      <c r="L3" s="10">
        <v>0.01</v>
      </c>
    </row>
    <row r="4" spans="1:12" x14ac:dyDescent="0.25">
      <c r="A4" t="s">
        <v>85</v>
      </c>
      <c r="B4" s="14">
        <v>99198</v>
      </c>
      <c r="C4" t="s">
        <v>21</v>
      </c>
      <c r="D4" s="3">
        <v>0.95</v>
      </c>
      <c r="E4" s="3">
        <f t="shared" ref="E4:E16" si="0">D4*B4</f>
        <v>94238.099999999991</v>
      </c>
      <c r="H4">
        <v>3</v>
      </c>
      <c r="I4" s="3">
        <f t="shared" ref="I4:I16" si="1">E4*((L$4*(1+L$4)^H4)/((1+L$4)^H4-1))</f>
        <v>32043.037744001937</v>
      </c>
      <c r="L4">
        <v>0.01</v>
      </c>
    </row>
    <row r="5" spans="1:12" x14ac:dyDescent="0.25">
      <c r="A5" t="s">
        <v>86</v>
      </c>
      <c r="B5">
        <v>256</v>
      </c>
      <c r="C5" t="s">
        <v>27</v>
      </c>
      <c r="D5" s="3">
        <v>770</v>
      </c>
      <c r="E5" s="3">
        <f t="shared" si="0"/>
        <v>197120</v>
      </c>
      <c r="H5">
        <v>3</v>
      </c>
      <c r="I5" s="3">
        <f t="shared" si="1"/>
        <v>67025.15861522741</v>
      </c>
    </row>
    <row r="6" spans="1:12" x14ac:dyDescent="0.25">
      <c r="A6" t="s">
        <v>87</v>
      </c>
      <c r="B6" s="14">
        <v>1920</v>
      </c>
      <c r="C6" t="s">
        <v>21</v>
      </c>
      <c r="D6" s="3">
        <v>2.5</v>
      </c>
      <c r="E6" s="3">
        <f t="shared" si="0"/>
        <v>4800</v>
      </c>
      <c r="H6">
        <v>3</v>
      </c>
      <c r="I6" s="3">
        <f t="shared" si="1"/>
        <v>1632.106135111057</v>
      </c>
    </row>
    <row r="7" spans="1:12" x14ac:dyDescent="0.25">
      <c r="A7" t="s">
        <v>88</v>
      </c>
      <c r="B7">
        <v>6</v>
      </c>
      <c r="C7" t="s">
        <v>27</v>
      </c>
      <c r="D7" s="3">
        <v>2850</v>
      </c>
      <c r="E7" s="3">
        <f t="shared" si="0"/>
        <v>17100</v>
      </c>
      <c r="H7">
        <v>3</v>
      </c>
      <c r="I7" s="3">
        <f t="shared" si="1"/>
        <v>5814.3781063331407</v>
      </c>
    </row>
    <row r="8" spans="1:12" x14ac:dyDescent="0.25">
      <c r="A8" t="s">
        <v>89</v>
      </c>
      <c r="B8">
        <v>8</v>
      </c>
      <c r="C8" t="s">
        <v>27</v>
      </c>
      <c r="D8" s="3">
        <v>10000</v>
      </c>
      <c r="E8" s="3">
        <f t="shared" si="0"/>
        <v>80000</v>
      </c>
      <c r="H8">
        <v>25</v>
      </c>
      <c r="I8" s="3">
        <f t="shared" si="1"/>
        <v>3632.540272043836</v>
      </c>
    </row>
    <row r="9" spans="1:12" x14ac:dyDescent="0.25">
      <c r="A9" t="s">
        <v>90</v>
      </c>
      <c r="B9">
        <v>224</v>
      </c>
      <c r="C9" t="s">
        <v>27</v>
      </c>
      <c r="D9" s="3">
        <v>4880</v>
      </c>
      <c r="E9" s="3">
        <f t="shared" si="0"/>
        <v>1093120</v>
      </c>
      <c r="H9">
        <v>75</v>
      </c>
      <c r="I9" s="3">
        <f t="shared" si="1"/>
        <v>20786.866238737832</v>
      </c>
    </row>
    <row r="10" spans="1:12" x14ac:dyDescent="0.25">
      <c r="A10" t="s">
        <v>91</v>
      </c>
      <c r="B10">
        <v>224</v>
      </c>
      <c r="C10" t="s">
        <v>27</v>
      </c>
      <c r="D10" s="3">
        <v>40</v>
      </c>
      <c r="E10" s="3">
        <f t="shared" si="0"/>
        <v>8960</v>
      </c>
      <c r="H10">
        <v>10</v>
      </c>
      <c r="I10" s="3">
        <f t="shared" si="1"/>
        <v>946.01540589849344</v>
      </c>
    </row>
    <row r="11" spans="1:12" x14ac:dyDescent="0.25">
      <c r="A11" t="s">
        <v>92</v>
      </c>
      <c r="D11" s="3"/>
      <c r="E11" s="3">
        <f t="shared" si="0"/>
        <v>0</v>
      </c>
      <c r="I11" s="3">
        <v>10322</v>
      </c>
    </row>
    <row r="12" spans="1:12" x14ac:dyDescent="0.25">
      <c r="A12" t="s">
        <v>93</v>
      </c>
      <c r="B12">
        <v>156</v>
      </c>
      <c r="C12" t="s">
        <v>27</v>
      </c>
      <c r="D12" s="3">
        <v>317.32</v>
      </c>
      <c r="E12" s="3">
        <f t="shared" si="0"/>
        <v>49501.919999999998</v>
      </c>
      <c r="H12">
        <v>25</v>
      </c>
      <c r="I12" s="3">
        <f t="shared" si="1"/>
        <v>2247.7214742936526</v>
      </c>
    </row>
    <row r="13" spans="1:12" x14ac:dyDescent="0.25">
      <c r="A13" t="s">
        <v>37</v>
      </c>
      <c r="B13">
        <v>156</v>
      </c>
      <c r="C13" t="s">
        <v>27</v>
      </c>
      <c r="D13" s="3">
        <v>13000</v>
      </c>
      <c r="E13" s="3">
        <f t="shared" si="0"/>
        <v>2028000</v>
      </c>
      <c r="H13">
        <v>25</v>
      </c>
      <c r="I13" s="3">
        <f t="shared" si="1"/>
        <v>92084.895896311238</v>
      </c>
    </row>
    <row r="14" spans="1:12" x14ac:dyDescent="0.25">
      <c r="A14" t="s">
        <v>94</v>
      </c>
      <c r="D14" s="3"/>
      <c r="E14" s="3">
        <f t="shared" si="0"/>
        <v>0</v>
      </c>
      <c r="I14" s="3">
        <v>1768</v>
      </c>
    </row>
    <row r="15" spans="1:12" x14ac:dyDescent="0.25">
      <c r="A15" t="s">
        <v>51</v>
      </c>
      <c r="B15">
        <v>156</v>
      </c>
      <c r="C15" t="s">
        <v>27</v>
      </c>
      <c r="D15" s="3">
        <v>1000</v>
      </c>
      <c r="E15" s="3">
        <f t="shared" si="0"/>
        <v>156000</v>
      </c>
      <c r="H15">
        <v>25</v>
      </c>
      <c r="I15" s="3">
        <f t="shared" si="1"/>
        <v>7083.4535304854799</v>
      </c>
    </row>
    <row r="16" spans="1:12" x14ac:dyDescent="0.25">
      <c r="A16" t="s">
        <v>95</v>
      </c>
      <c r="B16">
        <v>292</v>
      </c>
      <c r="C16" t="s">
        <v>27</v>
      </c>
      <c r="D16" s="3">
        <v>99</v>
      </c>
      <c r="E16" s="3">
        <f t="shared" si="0"/>
        <v>28908</v>
      </c>
      <c r="H16">
        <v>20</v>
      </c>
      <c r="I16" s="3">
        <f t="shared" si="1"/>
        <v>1601.9459228560579</v>
      </c>
    </row>
    <row r="17" spans="5:9" x14ac:dyDescent="0.25">
      <c r="E17" s="19">
        <f>SUM(E3:E16)</f>
        <v>3847015.7199999997</v>
      </c>
      <c r="I17" s="19">
        <f>SUM(I3:I16)</f>
        <v>277341.11118239461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D3CFD-0E14-45D5-B510-D7F5D26994E2}">
  <dimension ref="A1:L10"/>
  <sheetViews>
    <sheetView workbookViewId="0">
      <selection activeCell="L31" sqref="L31"/>
    </sheetView>
  </sheetViews>
  <sheetFormatPr defaultRowHeight="15" x14ac:dyDescent="0.25"/>
  <cols>
    <col min="1" max="1" width="13.28515625" bestFit="1" customWidth="1"/>
    <col min="3" max="3" width="17.85546875" bestFit="1" customWidth="1"/>
    <col min="4" max="4" width="13.5703125" bestFit="1" customWidth="1"/>
    <col min="7" max="7" width="11.42578125" bestFit="1" customWidth="1"/>
    <col min="9" max="9" width="24.7109375" bestFit="1" customWidth="1"/>
    <col min="10" max="10" width="10" bestFit="1" customWidth="1"/>
    <col min="11" max="11" width="11.5703125" bestFit="1" customWidth="1"/>
    <col min="12" max="12" width="12.5703125" bestFit="1" customWidth="1"/>
  </cols>
  <sheetData>
    <row r="1" spans="1:12" ht="15.75" x14ac:dyDescent="0.25">
      <c r="C1" t="s">
        <v>52</v>
      </c>
      <c r="D1" t="s">
        <v>53</v>
      </c>
      <c r="E1" t="s">
        <v>54</v>
      </c>
      <c r="F1" s="1" t="s">
        <v>55</v>
      </c>
      <c r="G1" t="s">
        <v>56</v>
      </c>
      <c r="H1" s="1" t="s">
        <v>57</v>
      </c>
      <c r="I1" s="15" t="s">
        <v>58</v>
      </c>
      <c r="J1" t="s">
        <v>59</v>
      </c>
      <c r="L1" t="s">
        <v>60</v>
      </c>
    </row>
    <row r="2" spans="1:12" ht="15.75" x14ac:dyDescent="0.25">
      <c r="A2" t="s">
        <v>61</v>
      </c>
      <c r="B2">
        <v>1.94</v>
      </c>
      <c r="C2">
        <v>0.81</v>
      </c>
      <c r="D2">
        <v>0.69</v>
      </c>
      <c r="E2">
        <v>0.89</v>
      </c>
      <c r="F2" s="16">
        <f>B2*C2*D2*E2</f>
        <v>0.96499674000000002</v>
      </c>
      <c r="G2">
        <v>0.22</v>
      </c>
      <c r="H2" s="16">
        <f>F2*G2</f>
        <v>0.21229928280000002</v>
      </c>
      <c r="I2" s="17">
        <f>F2-((F2-H2)/8)</f>
        <v>0.87090955785000002</v>
      </c>
      <c r="J2" s="18">
        <f>B2-I2</f>
        <v>1.0690904421499998</v>
      </c>
      <c r="K2" s="3">
        <v>98327.22</v>
      </c>
      <c r="L2" s="13">
        <f>K2*J2</f>
        <v>105120.6911051803</v>
      </c>
    </row>
    <row r="3" spans="1:12" ht="15.75" x14ac:dyDescent="0.25">
      <c r="A3" t="s">
        <v>62</v>
      </c>
      <c r="B3">
        <v>4.6500000000000004</v>
      </c>
      <c r="C3">
        <v>0.81</v>
      </c>
      <c r="D3">
        <v>1</v>
      </c>
      <c r="E3">
        <v>0.89</v>
      </c>
      <c r="F3" s="16">
        <f t="shared" ref="F3:F9" si="0">B3*C3*D3*E3</f>
        <v>3.3521850000000004</v>
      </c>
      <c r="G3">
        <v>0.22</v>
      </c>
      <c r="H3" s="16">
        <f t="shared" ref="H3:H9" si="1">F3*G3</f>
        <v>0.7374807000000001</v>
      </c>
      <c r="I3" s="17">
        <f t="shared" ref="I3:I9" si="2">F3-((F3-H3)/8)</f>
        <v>3.0253469625000005</v>
      </c>
      <c r="J3" s="18">
        <f t="shared" ref="J3:J9" si="3">B3-I3</f>
        <v>1.6246530374999999</v>
      </c>
      <c r="K3" s="3">
        <v>98327.22</v>
      </c>
      <c r="L3" s="13">
        <f t="shared" ref="L3:L9" si="4">K3*J3</f>
        <v>159747.61664193074</v>
      </c>
    </row>
    <row r="4" spans="1:12" ht="15.75" x14ac:dyDescent="0.25">
      <c r="A4" t="s">
        <v>63</v>
      </c>
      <c r="B4">
        <v>2.1800000000000002</v>
      </c>
      <c r="C4">
        <v>0.81</v>
      </c>
      <c r="D4">
        <v>0.84</v>
      </c>
      <c r="E4">
        <v>0.95</v>
      </c>
      <c r="F4" s="16">
        <f t="shared" si="0"/>
        <v>1.4091084</v>
      </c>
      <c r="G4">
        <v>0.61</v>
      </c>
      <c r="H4" s="16">
        <f t="shared" si="1"/>
        <v>0.85955612400000003</v>
      </c>
      <c r="I4" s="17">
        <f t="shared" si="2"/>
        <v>1.3404143655</v>
      </c>
      <c r="J4" s="18">
        <f t="shared" si="3"/>
        <v>0.83958563450000012</v>
      </c>
      <c r="K4" s="3">
        <v>9316.0300000000007</v>
      </c>
      <c r="L4" s="13">
        <f t="shared" si="4"/>
        <v>7821.6049585710371</v>
      </c>
    </row>
    <row r="5" spans="1:12" ht="15.75" x14ac:dyDescent="0.25">
      <c r="A5" t="s">
        <v>64</v>
      </c>
      <c r="B5">
        <v>5.23</v>
      </c>
      <c r="C5">
        <v>0.81</v>
      </c>
      <c r="D5">
        <v>1</v>
      </c>
      <c r="E5">
        <v>0.95</v>
      </c>
      <c r="F5" s="16">
        <f t="shared" si="0"/>
        <v>4.0244850000000003</v>
      </c>
      <c r="G5">
        <v>0.61</v>
      </c>
      <c r="H5" s="16">
        <f t="shared" si="1"/>
        <v>2.45493585</v>
      </c>
      <c r="I5" s="17">
        <f t="shared" si="2"/>
        <v>3.8282913562500003</v>
      </c>
      <c r="J5" s="18">
        <f t="shared" si="3"/>
        <v>1.4017086437500001</v>
      </c>
      <c r="K5" s="3">
        <v>9316.0300000000007</v>
      </c>
      <c r="L5" s="13">
        <f t="shared" si="4"/>
        <v>13058.359776434314</v>
      </c>
    </row>
    <row r="6" spans="1:12" ht="15.75" x14ac:dyDescent="0.25">
      <c r="A6" t="s">
        <v>65</v>
      </c>
      <c r="B6">
        <v>0.41</v>
      </c>
      <c r="C6">
        <v>0.85</v>
      </c>
      <c r="D6">
        <v>0.69</v>
      </c>
      <c r="E6">
        <v>0.89</v>
      </c>
      <c r="F6" s="16">
        <f t="shared" si="0"/>
        <v>0.21401384999999998</v>
      </c>
      <c r="G6">
        <v>1</v>
      </c>
      <c r="H6" s="16">
        <f t="shared" si="1"/>
        <v>0.21401384999999998</v>
      </c>
      <c r="I6" s="17">
        <f t="shared" si="2"/>
        <v>0.21401384999999998</v>
      </c>
      <c r="J6" s="18">
        <f t="shared" si="3"/>
        <v>0.19598615</v>
      </c>
      <c r="K6" s="3">
        <v>98327.22</v>
      </c>
      <c r="L6" s="13">
        <f t="shared" si="4"/>
        <v>19270.773288003002</v>
      </c>
    </row>
    <row r="7" spans="1:12" ht="15.75" x14ac:dyDescent="0.25">
      <c r="A7" t="s">
        <v>66</v>
      </c>
      <c r="B7">
        <v>1</v>
      </c>
      <c r="C7">
        <v>0.85</v>
      </c>
      <c r="D7">
        <v>1</v>
      </c>
      <c r="E7">
        <v>0.89</v>
      </c>
      <c r="F7" s="16">
        <f t="shared" si="0"/>
        <v>0.75649999999999995</v>
      </c>
      <c r="G7">
        <v>1</v>
      </c>
      <c r="H7" s="16">
        <f t="shared" si="1"/>
        <v>0.75649999999999995</v>
      </c>
      <c r="I7" s="17">
        <f t="shared" si="2"/>
        <v>0.75649999999999995</v>
      </c>
      <c r="J7" s="18">
        <f t="shared" si="3"/>
        <v>0.24350000000000005</v>
      </c>
      <c r="K7" s="3">
        <v>98327.22</v>
      </c>
      <c r="L7" s="13">
        <f t="shared" si="4"/>
        <v>23942.678070000005</v>
      </c>
    </row>
    <row r="8" spans="1:12" ht="15.75" x14ac:dyDescent="0.25">
      <c r="A8" t="s">
        <v>67</v>
      </c>
      <c r="B8">
        <v>0.47</v>
      </c>
      <c r="C8">
        <v>0.85</v>
      </c>
      <c r="D8">
        <v>0.84</v>
      </c>
      <c r="E8">
        <v>0.95</v>
      </c>
      <c r="F8" s="16">
        <f t="shared" si="0"/>
        <v>0.31880099999999995</v>
      </c>
      <c r="G8">
        <v>1</v>
      </c>
      <c r="H8" s="16">
        <f t="shared" si="1"/>
        <v>0.31880099999999995</v>
      </c>
      <c r="I8" s="17">
        <f t="shared" si="2"/>
        <v>0.31880099999999995</v>
      </c>
      <c r="J8" s="18">
        <f t="shared" si="3"/>
        <v>0.15119900000000003</v>
      </c>
      <c r="K8" s="3">
        <v>9316.0300000000007</v>
      </c>
      <c r="L8" s="13">
        <f t="shared" si="4"/>
        <v>1408.5744199700005</v>
      </c>
    </row>
    <row r="9" spans="1:12" ht="15.75" x14ac:dyDescent="0.25">
      <c r="A9" t="s">
        <v>68</v>
      </c>
      <c r="B9">
        <v>1.1200000000000001</v>
      </c>
      <c r="C9">
        <v>0.85</v>
      </c>
      <c r="D9">
        <v>1</v>
      </c>
      <c r="E9">
        <v>0.95</v>
      </c>
      <c r="F9" s="16">
        <f t="shared" si="0"/>
        <v>0.90439999999999998</v>
      </c>
      <c r="G9">
        <v>1</v>
      </c>
      <c r="H9" s="16">
        <f t="shared" si="1"/>
        <v>0.90439999999999998</v>
      </c>
      <c r="I9" s="17">
        <f t="shared" si="2"/>
        <v>0.90439999999999998</v>
      </c>
      <c r="J9" s="18">
        <f t="shared" si="3"/>
        <v>0.21560000000000012</v>
      </c>
      <c r="K9" s="3">
        <v>9316.0300000000007</v>
      </c>
      <c r="L9" s="13">
        <f t="shared" si="4"/>
        <v>2008.5360680000013</v>
      </c>
    </row>
    <row r="10" spans="1:12" x14ac:dyDescent="0.25">
      <c r="L10" s="19">
        <f>SUM(L2:L9)</f>
        <v>332378.83432808943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Master</vt:lpstr>
      <vt:lpstr>Alt1 Cheap</vt:lpstr>
      <vt:lpstr>Alt2 Traffic Circles</vt:lpstr>
      <vt:lpstr>Alt3 Lighting</vt:lpstr>
      <vt:lpstr>Alt4 Trees</vt:lpstr>
      <vt:lpstr>Alt5 Permeable Asphalt</vt:lpstr>
      <vt:lpstr>Alt6 White Asphalt</vt:lpstr>
      <vt:lpstr>Alt7 Woonerf</vt:lpstr>
      <vt:lpstr>Woonerf Crash Analysis</vt:lpstr>
      <vt:lpstr>Crime Analysis</vt:lpstr>
      <vt:lpstr>Crash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2020-11-05T03:32:47Z</dcterms:modified>
</cp:coreProperties>
</file>